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i.smith\Desktop\"/>
    </mc:Choice>
  </mc:AlternateContent>
  <xr:revisionPtr revIDLastSave="0" documentId="8_{CA2E1EF5-829E-4CAE-9AF6-9B6A99C18DDB}" xr6:coauthVersionLast="47" xr6:coauthVersionMax="47" xr10:uidLastSave="{00000000-0000-0000-0000-000000000000}"/>
  <workbookProtection workbookAlgorithmName="SHA-512" workbookHashValue="lJoUG6rqvak5/xFxfXbwrL1BzOoPIDchHnGNDRN/ma6vm2whZi1qV0W858eL1xuAKASuMWrtj0vzeShH4BV+KQ==" workbookSaltValue="MYiP2wz8au5Yjfof+bDMVA==" workbookSpinCount="100000" lockStructure="1"/>
  <bookViews>
    <workbookView xWindow="5400" yWindow="1845" windowWidth="20295" windowHeight="15720" xr2:uid="{00000000-000D-0000-FFFF-FFFF00000000}"/>
  </bookViews>
  <sheets>
    <sheet name="DIESE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2" l="1"/>
  <c r="K11" i="2"/>
  <c r="J11" i="2"/>
  <c r="H11" i="2"/>
  <c r="F11" i="2"/>
  <c r="D11" i="2"/>
  <c r="C11" i="2"/>
  <c r="B11" i="2"/>
  <c r="N11" i="2" s="1"/>
  <c r="N10" i="2" l="1"/>
  <c r="M10" i="2"/>
  <c r="K10" i="2"/>
  <c r="G10" i="2"/>
  <c r="E10" i="2"/>
  <c r="D10" i="2"/>
  <c r="M9" i="2" l="1"/>
  <c r="L9" i="2"/>
  <c r="D9" i="2"/>
  <c r="C9" i="2"/>
  <c r="B9" i="2"/>
  <c r="N9" i="2" s="1"/>
  <c r="M8" i="2" l="1"/>
  <c r="L8" i="2"/>
  <c r="K8" i="2"/>
  <c r="J8" i="2"/>
  <c r="I8" i="2"/>
  <c r="H8" i="2"/>
  <c r="G8" i="2"/>
  <c r="F8" i="2"/>
  <c r="E8" i="2"/>
  <c r="D8" i="2"/>
  <c r="C8" i="2"/>
  <c r="B8" i="2"/>
  <c r="N8" i="2" s="1"/>
  <c r="M7" i="2" l="1"/>
  <c r="L7" i="2" l="1"/>
  <c r="K7" i="2" l="1"/>
  <c r="J7" i="2" l="1"/>
  <c r="I7" i="2" l="1"/>
  <c r="H7" i="2" l="1"/>
  <c r="F7" i="2" l="1"/>
  <c r="E7" i="2" l="1"/>
  <c r="D7" i="2" l="1"/>
  <c r="C7" i="2" l="1"/>
  <c r="B7" i="2" l="1"/>
  <c r="M6" i="2" l="1"/>
  <c r="N7" i="2"/>
  <c r="L6" i="2" l="1"/>
  <c r="K6" i="2" l="1"/>
  <c r="J6" i="2" l="1"/>
  <c r="I6" i="2" l="1"/>
  <c r="H6" i="2" l="1"/>
  <c r="G6" i="2" l="1"/>
  <c r="F6" i="2" l="1"/>
  <c r="E6" i="2" l="1"/>
  <c r="D6" i="2" l="1"/>
  <c r="C6" i="2" l="1"/>
  <c r="B6" i="2" l="1"/>
  <c r="N6" i="2" s="1"/>
  <c r="M5" i="2" l="1"/>
  <c r="L5" i="2" l="1"/>
  <c r="K5" i="2" l="1"/>
  <c r="J5" i="2" l="1"/>
  <c r="I5" i="2" l="1"/>
  <c r="H5" i="2" l="1"/>
  <c r="G5" i="2" l="1"/>
  <c r="F5" i="2" l="1"/>
  <c r="E5" i="2" l="1"/>
  <c r="D5" i="2" l="1"/>
  <c r="C5" i="2" l="1"/>
  <c r="B5" i="2" l="1"/>
  <c r="N5" i="2" l="1"/>
</calcChain>
</file>

<file path=xl/sharedStrings.xml><?xml version="1.0" encoding="utf-8"?>
<sst xmlns="http://schemas.openxmlformats.org/spreadsheetml/2006/main" count="17" uniqueCount="17">
  <si>
    <t>Month</t>
  </si>
  <si>
    <t>October</t>
  </si>
  <si>
    <t>November</t>
  </si>
  <si>
    <t xml:space="preserve">December </t>
  </si>
  <si>
    <t xml:space="preserve">January </t>
  </si>
  <si>
    <t xml:space="preserve">February </t>
  </si>
  <si>
    <t>March</t>
  </si>
  <si>
    <t>April</t>
  </si>
  <si>
    <t>May</t>
  </si>
  <si>
    <t xml:space="preserve">June </t>
  </si>
  <si>
    <t xml:space="preserve">July </t>
  </si>
  <si>
    <t xml:space="preserve">August </t>
  </si>
  <si>
    <t>September</t>
  </si>
  <si>
    <t>TOTAL</t>
  </si>
  <si>
    <t>FISCAL YEAR</t>
  </si>
  <si>
    <t>DIESEL FUEL TAXABLE GALLONS</t>
  </si>
  <si>
    <t>(Month of Collection)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</si>
</sst>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7" applyNumberFormat="0" applyAlignment="0" applyProtection="0"/>
    <xf numFmtId="0" fontId="14" fillId="6" borderId="8" applyNumberFormat="0" applyAlignment="0" applyProtection="0"/>
    <xf numFmtId="0" fontId="15" fillId="6" borderId="7" applyNumberFormat="0" applyAlignment="0" applyProtection="0"/>
    <xf numFmtId="0" fontId="16" fillId="0" borderId="9" applyNumberFormat="0" applyFill="0" applyAlignment="0" applyProtection="0"/>
    <xf numFmtId="0" fontId="17" fillId="7" borderId="10" applyNumberFormat="0" applyAlignment="0" applyProtection="0"/>
    <xf numFmtId="0" fontId="18" fillId="0" borderId="0" applyNumberFormat="0" applyFill="0" applyBorder="0" applyAlignment="0" applyProtection="0"/>
    <xf numFmtId="0" fontId="5" fillId="8" borderId="1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1"/>
  <sheetViews>
    <sheetView tabSelected="1" workbookViewId="0"/>
  </sheetViews>
  <sheetFormatPr defaultRowHeight="15.75" x14ac:dyDescent="0.25"/>
  <cols>
    <col min="1" max="1" width="11.42578125" style="4" bestFit="1" customWidth="1"/>
    <col min="2" max="2" width="15" style="2" bestFit="1" customWidth="1"/>
    <col min="3" max="13" width="13.5703125" style="2" bestFit="1" customWidth="1"/>
    <col min="14" max="14" width="17.7109375" style="2" customWidth="1"/>
    <col min="15" max="15" width="8.85546875" style="2"/>
  </cols>
  <sheetData>
    <row r="1" spans="1:15" x14ac:dyDescent="0.25">
      <c r="A1" s="5" t="s">
        <v>15</v>
      </c>
      <c r="O1"/>
    </row>
    <row r="2" spans="1:15" x14ac:dyDescent="0.25">
      <c r="A2" s="1" t="s">
        <v>16</v>
      </c>
      <c r="O2"/>
    </row>
    <row r="3" spans="1:15" x14ac:dyDescent="0.25">
      <c r="A3" s="9" t="s">
        <v>14</v>
      </c>
      <c r="B3" s="5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/>
    </row>
    <row r="4" spans="1:15" ht="18" x14ac:dyDescent="0.4"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6" t="s">
        <v>13</v>
      </c>
      <c r="O4"/>
    </row>
    <row r="5" spans="1:15" ht="31.9" customHeight="1" x14ac:dyDescent="0.25">
      <c r="A5" s="10">
        <v>2018</v>
      </c>
      <c r="B5" s="11">
        <f>65577474+1513393+143103</f>
        <v>67233970</v>
      </c>
      <c r="C5" s="11">
        <f>70149267+1165676+41604</f>
        <v>71356547</v>
      </c>
      <c r="D5" s="11">
        <f>64914280+1458725+73378</f>
        <v>66446383</v>
      </c>
      <c r="E5" s="11">
        <f>60024874+1292796+36028</f>
        <v>61353698</v>
      </c>
      <c r="F5" s="11">
        <f>574059+25923+65974181</f>
        <v>66574163</v>
      </c>
      <c r="G5" s="11">
        <f>61295127+546238+49911</f>
        <v>61891276</v>
      </c>
      <c r="H5" s="11">
        <f>69814010+930103+8366</f>
        <v>70752479</v>
      </c>
      <c r="I5" s="11">
        <f>67544415+635341+6578</f>
        <v>68186334</v>
      </c>
      <c r="J5" s="11">
        <f>70807422+580312+5777</f>
        <v>71393511</v>
      </c>
      <c r="K5" s="11">
        <f>66462808+823364+16014</f>
        <v>67302186</v>
      </c>
      <c r="L5" s="11">
        <f>66590744+707890+28171</f>
        <v>67326805</v>
      </c>
      <c r="M5" s="11">
        <f>72214651+689995+10745</f>
        <v>72915391</v>
      </c>
      <c r="N5" s="11">
        <f t="shared" ref="N5:N7" si="0">SUM(B5:M5)</f>
        <v>812732743</v>
      </c>
      <c r="O5"/>
    </row>
    <row r="6" spans="1:15" ht="31.9" customHeight="1" x14ac:dyDescent="0.25">
      <c r="A6" s="10">
        <v>2019</v>
      </c>
      <c r="B6" s="11">
        <f>64838059+779068+41760</f>
        <v>65658887</v>
      </c>
      <c r="C6" s="11">
        <f>74353469+747231+39897</f>
        <v>75140597</v>
      </c>
      <c r="D6" s="11">
        <f>67183184+741420+33057</f>
        <v>67957661</v>
      </c>
      <c r="E6" s="11">
        <f>62196258+852312+29595</f>
        <v>63078165</v>
      </c>
      <c r="F6" s="11">
        <f>69215900+815673+21467</f>
        <v>70053040</v>
      </c>
      <c r="G6" s="11">
        <f>62754169+933016+53773</f>
        <v>63740958</v>
      </c>
      <c r="H6" s="11">
        <f>70217041+865953+19970</f>
        <v>71102964</v>
      </c>
      <c r="I6" s="11">
        <f>70377182+1082970+19019</f>
        <v>71479171</v>
      </c>
      <c r="J6" s="11">
        <f>72291620+579509+11043</f>
        <v>72882172</v>
      </c>
      <c r="K6" s="11">
        <f>68162979+579509+11043</f>
        <v>68753531</v>
      </c>
      <c r="L6" s="11">
        <f>69618128+997565+16678</f>
        <v>70632371</v>
      </c>
      <c r="M6" s="11">
        <f>71418762+1141315+72073</f>
        <v>72632150</v>
      </c>
      <c r="N6" s="11">
        <f t="shared" si="0"/>
        <v>833111667</v>
      </c>
      <c r="O6"/>
    </row>
    <row r="7" spans="1:15" ht="31.9" customHeight="1" x14ac:dyDescent="0.25">
      <c r="A7" s="10">
        <v>2020</v>
      </c>
      <c r="B7" s="11">
        <f>66570849+1203783+26478</f>
        <v>67801110</v>
      </c>
      <c r="C7" s="11">
        <f>71071023+1717228+6445</f>
        <v>72794696</v>
      </c>
      <c r="D7" s="11">
        <f>64723542+1529986+21585</f>
        <v>66275113</v>
      </c>
      <c r="E7" s="11">
        <f>61824114+1583170+12711</f>
        <v>63419995</v>
      </c>
      <c r="F7" s="11">
        <f>66755336+1361582+8584</f>
        <v>68125502</v>
      </c>
      <c r="G7" s="11">
        <v>63447413</v>
      </c>
      <c r="H7" s="11">
        <f>69813275+1625827+1493</f>
        <v>71440595</v>
      </c>
      <c r="I7" s="11">
        <f>60073109+1612652+8301</f>
        <v>61694062</v>
      </c>
      <c r="J7" s="11">
        <f>61687901+1397899+29338</f>
        <v>63115138</v>
      </c>
      <c r="K7" s="11">
        <f>1365574+9660+67307722</f>
        <v>68682956</v>
      </c>
      <c r="L7" s="11">
        <f>69593493+1163983+36042</f>
        <v>70793518</v>
      </c>
      <c r="M7" s="11">
        <f>70282595+834249+33980</f>
        <v>71150824</v>
      </c>
      <c r="N7" s="11">
        <f t="shared" si="0"/>
        <v>808740922</v>
      </c>
      <c r="O7"/>
    </row>
    <row r="8" spans="1:15" ht="31.9" customHeight="1" x14ac:dyDescent="0.25">
      <c r="A8" s="10">
        <v>2021</v>
      </c>
      <c r="B8" s="11">
        <f>71920265+833182+12161</f>
        <v>72765608</v>
      </c>
      <c r="C8" s="11">
        <f>75206888+844376+18828</f>
        <v>76070092</v>
      </c>
      <c r="D8" s="11">
        <f>68765244+778618+7055</f>
        <v>69550917</v>
      </c>
      <c r="E8" s="11">
        <f>70644488+790380+15959</f>
        <v>71450827</v>
      </c>
      <c r="F8" s="11">
        <f>67567973+818223+11839</f>
        <v>68398035</v>
      </c>
      <c r="G8" s="11">
        <f>64270745+970334+3653</f>
        <v>65244732</v>
      </c>
      <c r="H8" s="11">
        <f>77037428+1188810+18731</f>
        <v>78244969</v>
      </c>
      <c r="I8" s="11">
        <f>75349646+1235960+28385</f>
        <v>76613991</v>
      </c>
      <c r="J8" s="11">
        <f>73416628+1288617+21494</f>
        <v>74726739</v>
      </c>
      <c r="K8" s="11">
        <f>74053214+1014460+24282</f>
        <v>75091956</v>
      </c>
      <c r="L8" s="11">
        <f>71483780+900082+23538</f>
        <v>72407400</v>
      </c>
      <c r="M8" s="11">
        <f>75608006+838533+20378</f>
        <v>76466917</v>
      </c>
      <c r="N8" s="11">
        <f t="shared" ref="N8" si="1">SUM(B8:M8)</f>
        <v>877032183</v>
      </c>
      <c r="O8"/>
    </row>
    <row r="9" spans="1:15" ht="31.9" customHeight="1" x14ac:dyDescent="0.25">
      <c r="A9" s="10">
        <v>2022</v>
      </c>
      <c r="B9" s="11">
        <f>73473703+1429519+34370</f>
        <v>74937592</v>
      </c>
      <c r="C9" s="11">
        <f>74919021+1099117+38822</f>
        <v>76056960</v>
      </c>
      <c r="D9" s="11">
        <f>72254475+1018905+13755</f>
        <v>73287135</v>
      </c>
      <c r="E9" s="11">
        <v>73652563</v>
      </c>
      <c r="F9" s="11">
        <v>71309304</v>
      </c>
      <c r="G9" s="11">
        <v>71694232</v>
      </c>
      <c r="H9" s="11">
        <v>80213959</v>
      </c>
      <c r="I9" s="11">
        <v>72600333</v>
      </c>
      <c r="J9" s="11">
        <v>74851611</v>
      </c>
      <c r="K9" s="11">
        <v>74365360</v>
      </c>
      <c r="L9" s="11">
        <f>70768585+687768+59106</f>
        <v>71515459</v>
      </c>
      <c r="M9" s="11">
        <f>76282377+864241+41853</f>
        <v>77188471</v>
      </c>
      <c r="N9" s="11">
        <f t="shared" ref="N9:N11" si="2">SUM(B9:M9)</f>
        <v>891672979</v>
      </c>
      <c r="O9"/>
    </row>
    <row r="10" spans="1:15" ht="31.9" customHeight="1" x14ac:dyDescent="0.25">
      <c r="A10" s="10">
        <v>2023</v>
      </c>
      <c r="B10" s="11">
        <v>75841894</v>
      </c>
      <c r="C10" s="11">
        <v>77201548</v>
      </c>
      <c r="D10" s="11">
        <f>73144196+803381+37834</f>
        <v>73985411</v>
      </c>
      <c r="E10" s="11">
        <f>67613086+1320680+24509</f>
        <v>68958275</v>
      </c>
      <c r="F10" s="11">
        <v>72837527</v>
      </c>
      <c r="G10" s="11">
        <f>68390115+754347+65782</f>
        <v>69210244</v>
      </c>
      <c r="H10" s="11">
        <v>73512208</v>
      </c>
      <c r="I10" s="11">
        <v>73512208</v>
      </c>
      <c r="J10" s="11">
        <v>77179452</v>
      </c>
      <c r="K10" s="11">
        <f>77670178+920248+19345</f>
        <v>78609771</v>
      </c>
      <c r="L10" s="11">
        <v>71371658</v>
      </c>
      <c r="M10" s="11">
        <f>79151072+1108710+25024</f>
        <v>80284806</v>
      </c>
      <c r="N10" s="11">
        <f t="shared" si="2"/>
        <v>892505002</v>
      </c>
      <c r="O10"/>
    </row>
    <row r="11" spans="1:15" ht="31.9" customHeight="1" x14ac:dyDescent="0.25">
      <c r="A11" s="10">
        <v>2024</v>
      </c>
      <c r="B11" s="11">
        <f>71896506+777903+61483</f>
        <v>72735892</v>
      </c>
      <c r="C11" s="11">
        <f>76580178+835993+48598</f>
        <v>77464769</v>
      </c>
      <c r="D11" s="11">
        <f>71210536+671214+43476</f>
        <v>71925226</v>
      </c>
      <c r="E11" s="11">
        <v>68509503</v>
      </c>
      <c r="F11" s="11">
        <f>69745914+1241167+47486</f>
        <v>71034567</v>
      </c>
      <c r="G11" s="11">
        <v>73288926</v>
      </c>
      <c r="H11" s="11">
        <f>74814220+643196+16412</f>
        <v>75473828</v>
      </c>
      <c r="I11" s="11">
        <v>78311706</v>
      </c>
      <c r="J11" s="11">
        <f>77280852+853700+17014</f>
        <v>78151566</v>
      </c>
      <c r="K11" s="11">
        <f>73414769+831161+16099</f>
        <v>74262029</v>
      </c>
      <c r="L11" s="11">
        <v>75480459</v>
      </c>
      <c r="M11" s="11">
        <f>79116766+798491+27697</f>
        <v>79942954</v>
      </c>
      <c r="N11" s="11">
        <f t="shared" si="2"/>
        <v>896581425</v>
      </c>
      <c r="O11"/>
    </row>
  </sheetData>
  <sheetProtection algorithmName="SHA-512" hashValue="wy6p85iwpWoyyUXJKps/xNMgtgC2XQ8guAL97QJol25aM+mfVoHLfZNp5TWxRIwoyVCmsX6z3SahuzVxyqA3Dg==" saltValue="80shM3uZNQBsRCfIqKvIdw==" spinCount="100000" sheet="1" objects="1" scenarios="1"/>
  <pageMargins left="0.35" right="0.35" top="0.5" bottom="0.5" header="0.3" footer="0.3"/>
  <pageSetup scale="67" fitToHeight="0" orientation="landscape" r:id="rId1"/>
  <ignoredErrors>
    <ignoredError sqref="N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Smith, Lori</cp:lastModifiedBy>
  <cp:lastPrinted>2014-06-05T11:56:56Z</cp:lastPrinted>
  <dcterms:created xsi:type="dcterms:W3CDTF">2013-01-07T15:13:39Z</dcterms:created>
  <dcterms:modified xsi:type="dcterms:W3CDTF">2024-09-27T13:58:54Z</dcterms:modified>
</cp:coreProperties>
</file>