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i.smith\Desktop\"/>
    </mc:Choice>
  </mc:AlternateContent>
  <xr:revisionPtr revIDLastSave="0" documentId="8_{554CBF82-AD78-424B-A1B6-674EB4D1DA74}" xr6:coauthVersionLast="47" xr6:coauthVersionMax="47" xr10:uidLastSave="{00000000-0000-0000-0000-000000000000}"/>
  <bookViews>
    <workbookView xWindow="5400" yWindow="1845" windowWidth="20295" windowHeight="15720" xr2:uid="{00000000-000D-0000-FFFF-FFFF00000000}"/>
  </bookViews>
  <sheets>
    <sheet name="G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K11" i="1"/>
  <c r="J11" i="1"/>
  <c r="H11" i="1"/>
  <c r="F11" i="1"/>
  <c r="D11" i="1"/>
  <c r="C11" i="1"/>
  <c r="B11" i="1"/>
  <c r="N11" i="1" s="1"/>
  <c r="N10" i="1" l="1"/>
  <c r="M10" i="1"/>
  <c r="K10" i="1"/>
  <c r="G10" i="1"/>
  <c r="E10" i="1"/>
  <c r="D10" i="1"/>
  <c r="N9" i="1" l="1"/>
  <c r="M9" i="1"/>
  <c r="L9" i="1"/>
  <c r="D9" i="1"/>
  <c r="C9" i="1"/>
  <c r="B9" i="1"/>
  <c r="M8" i="1" l="1"/>
  <c r="L8" i="1"/>
  <c r="K8" i="1"/>
  <c r="J8" i="1"/>
  <c r="I8" i="1"/>
  <c r="H8" i="1"/>
  <c r="G8" i="1"/>
  <c r="F8" i="1"/>
  <c r="E8" i="1"/>
  <c r="D8" i="1"/>
  <c r="C8" i="1"/>
  <c r="B8" i="1"/>
  <c r="N8" i="1" s="1"/>
  <c r="M7" i="1" l="1"/>
  <c r="L7" i="1" l="1"/>
  <c r="K7" i="1" l="1"/>
  <c r="J7" i="1" l="1"/>
  <c r="I7" i="1" l="1"/>
  <c r="H7" i="1" l="1"/>
  <c r="F7" i="1" l="1"/>
  <c r="E7" i="1" l="1"/>
  <c r="D7" i="1" l="1"/>
  <c r="C7" i="1" l="1"/>
  <c r="B7" i="1" l="1"/>
  <c r="M6" i="1" l="1"/>
  <c r="N7" i="1"/>
  <c r="L6" i="1" l="1"/>
  <c r="K6" i="1" l="1"/>
  <c r="J6" i="1" l="1"/>
  <c r="I6" i="1" l="1"/>
  <c r="H6" i="1" l="1"/>
  <c r="G6" i="1" l="1"/>
  <c r="F6" i="1" l="1"/>
  <c r="E6" i="1" l="1"/>
  <c r="D6" i="1" l="1"/>
  <c r="C6" i="1" l="1"/>
  <c r="B6" i="1" l="1"/>
  <c r="N6" i="1" s="1"/>
  <c r="M5" i="1" l="1"/>
  <c r="L5" i="1" l="1"/>
  <c r="K5" i="1" l="1"/>
  <c r="J5" i="1" l="1"/>
  <c r="I5" i="1" l="1"/>
  <c r="H5" i="1" l="1"/>
  <c r="G5" i="1" l="1"/>
  <c r="F5" i="1" l="1"/>
  <c r="E5" i="1" l="1"/>
  <c r="D5" i="1" l="1"/>
  <c r="C5" i="1" l="1"/>
  <c r="B5" i="1" l="1"/>
  <c r="N5" i="1" l="1"/>
</calcChain>
</file>

<file path=xl/sharedStrings.xml><?xml version="1.0" encoding="utf-8"?>
<sst xmlns="http://schemas.openxmlformats.org/spreadsheetml/2006/main" count="17" uniqueCount="17">
  <si>
    <t>Month</t>
  </si>
  <si>
    <t>October</t>
  </si>
  <si>
    <t>November</t>
  </si>
  <si>
    <t xml:space="preserve">December </t>
  </si>
  <si>
    <t xml:space="preserve">January </t>
  </si>
  <si>
    <t xml:space="preserve">February </t>
  </si>
  <si>
    <t>March</t>
  </si>
  <si>
    <t>April</t>
  </si>
  <si>
    <t>May</t>
  </si>
  <si>
    <t xml:space="preserve">June </t>
  </si>
  <si>
    <t xml:space="preserve">July </t>
  </si>
  <si>
    <t xml:space="preserve">August </t>
  </si>
  <si>
    <t>September</t>
  </si>
  <si>
    <t>TOTAL</t>
  </si>
  <si>
    <t>FISCAL YEAR</t>
  </si>
  <si>
    <t xml:space="preserve">GASOLINE TAXABLE GALLONS </t>
  </si>
  <si>
    <t>(Month of Collection)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</si>
</sst>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7" applyNumberFormat="0" applyAlignment="0" applyProtection="0"/>
    <xf numFmtId="0" fontId="14" fillId="6" borderId="8" applyNumberFormat="0" applyAlignment="0" applyProtection="0"/>
    <xf numFmtId="0" fontId="15" fillId="6" borderId="7" applyNumberFormat="0" applyAlignment="0" applyProtection="0"/>
    <xf numFmtId="0" fontId="16" fillId="0" borderId="9" applyNumberFormat="0" applyFill="0" applyAlignment="0" applyProtection="0"/>
    <xf numFmtId="0" fontId="17" fillId="7" borderId="10" applyNumberFormat="0" applyAlignment="0" applyProtection="0"/>
    <xf numFmtId="0" fontId="18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workbookViewId="0">
      <selection activeCell="H16" sqref="H16"/>
    </sheetView>
  </sheetViews>
  <sheetFormatPr defaultRowHeight="15.75" x14ac:dyDescent="0.25"/>
  <cols>
    <col min="1" max="1" width="11.42578125" style="4" bestFit="1" customWidth="1"/>
    <col min="2" max="2" width="15" style="2" bestFit="1" customWidth="1"/>
    <col min="3" max="13" width="13.85546875" style="2" bestFit="1" customWidth="1"/>
    <col min="14" max="14" width="17.7109375" style="2" customWidth="1"/>
    <col min="15" max="15" width="8.85546875" style="2"/>
  </cols>
  <sheetData>
    <row r="1" spans="1:15" x14ac:dyDescent="0.25">
      <c r="A1" s="5" t="s">
        <v>15</v>
      </c>
      <c r="O1"/>
    </row>
    <row r="2" spans="1:15" x14ac:dyDescent="0.25">
      <c r="A2" s="1" t="s">
        <v>16</v>
      </c>
      <c r="O2"/>
    </row>
    <row r="3" spans="1:15" x14ac:dyDescent="0.25">
      <c r="A3" s="9" t="s">
        <v>14</v>
      </c>
      <c r="B3" s="5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/>
    </row>
    <row r="4" spans="1:15" ht="18" x14ac:dyDescent="0.4"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6" t="s">
        <v>13</v>
      </c>
      <c r="O4"/>
    </row>
    <row r="5" spans="1:15" ht="31.9" customHeight="1" x14ac:dyDescent="0.25">
      <c r="A5" s="10">
        <v>2018</v>
      </c>
      <c r="B5" s="11">
        <f>222889570+933778+190305</f>
        <v>224013653</v>
      </c>
      <c r="C5" s="11">
        <f>234502196+398058+33590</f>
        <v>234933844</v>
      </c>
      <c r="D5" s="11">
        <f>222052883+357209+247161</f>
        <v>222657253</v>
      </c>
      <c r="E5" s="11">
        <f>221764759+602105+77151</f>
        <v>222444015</v>
      </c>
      <c r="F5" s="11">
        <f>209214100+765433+45960</f>
        <v>210025493</v>
      </c>
      <c r="G5" s="11">
        <f>201668047+543647+49579</f>
        <v>202261273</v>
      </c>
      <c r="H5" s="11">
        <f>234305173+1449591+71263</f>
        <v>235826027</v>
      </c>
      <c r="I5" s="11">
        <f>230645174+852224+21562</f>
        <v>231518960</v>
      </c>
      <c r="J5" s="11">
        <f>526544+50975+243636862</f>
        <v>244214381</v>
      </c>
      <c r="K5" s="11">
        <f>235893340+478353+34318</f>
        <v>236406011</v>
      </c>
      <c r="L5" s="11">
        <f>240830717+680436+35351</f>
        <v>241546504</v>
      </c>
      <c r="M5" s="11">
        <f>243286537+718860+73608</f>
        <v>244079005</v>
      </c>
      <c r="N5" s="11">
        <f t="shared" ref="N5:N7" si="0">SUM(B5:M5)</f>
        <v>2749926419</v>
      </c>
      <c r="O5"/>
    </row>
    <row r="6" spans="1:15" ht="31.9" customHeight="1" x14ac:dyDescent="0.25">
      <c r="A6" s="10">
        <v>2019</v>
      </c>
      <c r="B6" s="11">
        <f>223839488+450157+109185</f>
        <v>224398830</v>
      </c>
      <c r="C6" s="11">
        <f>240569392+870762+178690</f>
        <v>241618844</v>
      </c>
      <c r="D6" s="11">
        <f>225517870+598997+168529</f>
        <v>226285396</v>
      </c>
      <c r="E6" s="11">
        <f>225437564+525571+208988</f>
        <v>226172123</v>
      </c>
      <c r="F6" s="11">
        <f>218554324+543381+186407</f>
        <v>219284112</v>
      </c>
      <c r="G6" s="11">
        <f>202314212+670933+120128</f>
        <v>203105273</v>
      </c>
      <c r="H6" s="11">
        <f>237959580+762417+185478</f>
        <v>238907475</v>
      </c>
      <c r="I6" s="11">
        <f>234291640+940650+59275</f>
        <v>235291565</v>
      </c>
      <c r="J6" s="11">
        <f>246492160+760782+77787</f>
        <v>247330729</v>
      </c>
      <c r="K6" s="11">
        <f>233191723+713722+103326</f>
        <v>234008771</v>
      </c>
      <c r="L6" s="11">
        <f>244784767+969216+95307</f>
        <v>245849290</v>
      </c>
      <c r="M6" s="11">
        <f>246719888+674515+94649</f>
        <v>247489052</v>
      </c>
      <c r="N6" s="11">
        <f t="shared" si="0"/>
        <v>2789741460</v>
      </c>
      <c r="O6"/>
    </row>
    <row r="7" spans="1:15" ht="31.9" customHeight="1" x14ac:dyDescent="0.25">
      <c r="A7" s="10">
        <v>2020</v>
      </c>
      <c r="B7" s="11">
        <f>226820296+658079+71421</f>
        <v>227549796</v>
      </c>
      <c r="C7" s="11">
        <f>232645717+727906+53455</f>
        <v>233427078</v>
      </c>
      <c r="D7" s="11">
        <f>222770030+521817+56272</f>
        <v>223348119</v>
      </c>
      <c r="E7" s="11">
        <f>224992938+578092+31313</f>
        <v>225602343</v>
      </c>
      <c r="F7" s="11">
        <f>216297568+691372+34989</f>
        <v>217023929</v>
      </c>
      <c r="G7" s="11">
        <v>210060380</v>
      </c>
      <c r="H7" s="11">
        <f>214136856+807010+25693</f>
        <v>214969559</v>
      </c>
      <c r="I7" s="11">
        <f>159561124+536231+15191</f>
        <v>160112546</v>
      </c>
      <c r="J7" s="11">
        <f>205634939+819670+35057</f>
        <v>206489666</v>
      </c>
      <c r="K7" s="11">
        <f>221805242+689604+46249</f>
        <v>222541095</v>
      </c>
      <c r="L7" s="11">
        <f>230975300+802141+16912</f>
        <v>231794353</v>
      </c>
      <c r="M7" s="11">
        <f>227108925+751184+24623</f>
        <v>227884732</v>
      </c>
      <c r="N7" s="11">
        <f t="shared" si="0"/>
        <v>2600803596</v>
      </c>
      <c r="O7"/>
    </row>
    <row r="8" spans="1:15" ht="31.9" customHeight="1" x14ac:dyDescent="0.25">
      <c r="A8" s="10">
        <v>2021</v>
      </c>
      <c r="B8" s="11">
        <f>219668089+780825+46295</f>
        <v>220495209</v>
      </c>
      <c r="C8" s="11">
        <f>224846437+798726+69867</f>
        <v>225715030</v>
      </c>
      <c r="D8" s="11">
        <f>210092568+615421+65648+1939</f>
        <v>210775576</v>
      </c>
      <c r="E8" s="11">
        <f>217410044+533883+52402</f>
        <v>217996329</v>
      </c>
      <c r="F8" s="11">
        <f>205280897+460029+48204</f>
        <v>205789130</v>
      </c>
      <c r="G8" s="11">
        <f>189025935+475943+29976+2506</f>
        <v>189534360</v>
      </c>
      <c r="H8" s="11">
        <f>232265083+789177+20292</f>
        <v>233074552</v>
      </c>
      <c r="I8" s="11">
        <f>235521993+791651+44810+9185</f>
        <v>236367639</v>
      </c>
      <c r="J8" s="11">
        <f>241628000+1466166+45540+1491</f>
        <v>243141197</v>
      </c>
      <c r="K8" s="11">
        <f>235017248+684735+51499+8409</f>
        <v>235761891</v>
      </c>
      <c r="L8" s="11">
        <f>241354812+540206+70236+2975</f>
        <v>241968229</v>
      </c>
      <c r="M8" s="11">
        <f>238774832+727554+49963+7420</f>
        <v>239559769</v>
      </c>
      <c r="N8" s="11">
        <f t="shared" ref="N8" si="1">SUM(B8:M8)</f>
        <v>2700178911</v>
      </c>
      <c r="O8"/>
    </row>
    <row r="9" spans="1:15" ht="31.9" customHeight="1" x14ac:dyDescent="0.25">
      <c r="A9" s="10">
        <v>2022</v>
      </c>
      <c r="B9" s="11">
        <f>222809030+1391449+20459+5891</f>
        <v>224226829</v>
      </c>
      <c r="C9" s="11">
        <f>230973700+1281241+51045+2287</f>
        <v>232308273</v>
      </c>
      <c r="D9" s="11">
        <f>222936178+639281+24784+7505</f>
        <v>223607748</v>
      </c>
      <c r="E9" s="11">
        <v>224607797</v>
      </c>
      <c r="F9" s="11">
        <v>202984078</v>
      </c>
      <c r="G9" s="11">
        <v>203678861</v>
      </c>
      <c r="H9" s="11">
        <v>232645127</v>
      </c>
      <c r="I9" s="11">
        <v>223935421</v>
      </c>
      <c r="J9" s="11">
        <v>234877750</v>
      </c>
      <c r="K9" s="11">
        <v>226070019</v>
      </c>
      <c r="L9" s="11">
        <f>228027060+621182+34189+2470</f>
        <v>228684901</v>
      </c>
      <c r="M9" s="11">
        <f>228624446+834473+55820</f>
        <v>229514739</v>
      </c>
      <c r="N9" s="11">
        <f t="shared" ref="N9:N11" si="2">SUM(B9:M9)</f>
        <v>2687141543</v>
      </c>
      <c r="O9"/>
    </row>
    <row r="10" spans="1:15" ht="31.9" customHeight="1" x14ac:dyDescent="0.25">
      <c r="A10" s="10">
        <v>2023</v>
      </c>
      <c r="B10" s="11">
        <v>225088353</v>
      </c>
      <c r="C10" s="11">
        <v>224773829</v>
      </c>
      <c r="D10" s="11">
        <f>215506839+559377+60251</f>
        <v>216126467</v>
      </c>
      <c r="E10" s="11">
        <f>217513999+426790+79122</f>
        <v>218019911</v>
      </c>
      <c r="F10" s="11">
        <v>209660226</v>
      </c>
      <c r="G10" s="11">
        <f>200529743+395074+30360</f>
        <v>200955177</v>
      </c>
      <c r="H10" s="11">
        <v>225395748</v>
      </c>
      <c r="I10" s="11">
        <v>225395748</v>
      </c>
      <c r="J10" s="11">
        <v>239906810</v>
      </c>
      <c r="K10" s="11">
        <f>232281415+571025+32691</f>
        <v>232885131</v>
      </c>
      <c r="L10" s="11">
        <v>235769240</v>
      </c>
      <c r="M10" s="11">
        <f>240893232+578189+19052</f>
        <v>241490473</v>
      </c>
      <c r="N10" s="11">
        <f t="shared" si="2"/>
        <v>2695467113</v>
      </c>
      <c r="O10"/>
    </row>
    <row r="11" spans="1:15" ht="31.9" customHeight="1" x14ac:dyDescent="0.25">
      <c r="A11" s="10">
        <v>2024</v>
      </c>
      <c r="B11" s="11">
        <f>223971953+537900+66772</f>
        <v>224576625</v>
      </c>
      <c r="C11" s="11">
        <f>230724140+573895+34183</f>
        <v>231332218</v>
      </c>
      <c r="D11" s="11">
        <f>215706728+1007911+17543</f>
        <v>216732182</v>
      </c>
      <c r="E11" s="11">
        <v>217693231</v>
      </c>
      <c r="F11" s="11">
        <f>202275702+845423+27807</f>
        <v>203148932</v>
      </c>
      <c r="G11" s="11">
        <v>210557145</v>
      </c>
      <c r="H11" s="11">
        <f>229189522+662716+10610</f>
        <v>229862848</v>
      </c>
      <c r="I11" s="11">
        <v>230597647</v>
      </c>
      <c r="J11" s="11">
        <f>241969802+717613+22179</f>
        <v>242709594</v>
      </c>
      <c r="K11" s="11">
        <f>229377048+701359+37063</f>
        <v>230115470</v>
      </c>
      <c r="L11" s="11">
        <v>236448607</v>
      </c>
      <c r="M11" s="11">
        <f>241278513+605338+12712</f>
        <v>241896563</v>
      </c>
      <c r="N11" s="11">
        <f t="shared" si="2"/>
        <v>2715671062</v>
      </c>
      <c r="O11"/>
    </row>
    <row r="12" spans="1:15" ht="21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ht="21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ht="21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</sheetData>
  <sheetProtection algorithmName="SHA-512" hashValue="gxV2j+rq8dkVgtLQPJf5Vu1Qp3htFITpqytGqRtPiLq5DfWWReJgDwEDGs0NskiwTBTwp5k4LmhEVt5YkvXgwg==" saltValue="csCUDcuQPWfken8HL4sq5Q==" spinCount="100000" sheet="1" objects="1" scenarios="1"/>
  <pageMargins left="0.35" right="0.35" top="0.5" bottom="0.5" header="0.3" footer="0.3"/>
  <pageSetup scale="67" fitToHeight="0" orientation="landscape" r:id="rId1"/>
  <ignoredErrors>
    <ignoredError sqref="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Smith, Lori</cp:lastModifiedBy>
  <cp:lastPrinted>2014-06-05T11:56:56Z</cp:lastPrinted>
  <dcterms:created xsi:type="dcterms:W3CDTF">2013-01-07T15:13:39Z</dcterms:created>
  <dcterms:modified xsi:type="dcterms:W3CDTF">2024-09-27T13:58:12Z</dcterms:modified>
</cp:coreProperties>
</file>